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<sst xmlns="http://schemas.openxmlformats.org/spreadsheetml/2006/main" count="48" uniqueCount="48">
  <si>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Body Station, x, in</t>
  </si>
  <si>
    <t>Body Radius, r, in</t>
  </si>
  <si>
    <t>Body Cross Section Area, in^2</t>
  </si>
  <si>
    <t>Body Segment No.</t>
  </si>
  <si>
    <t>Aerodynamic Reference  Area, in^2</t>
  </si>
  <si>
    <t>Aerodynamic Reference Length, in</t>
  </si>
  <si>
    <r>
      <t>Segment</t>
    </r>
    <r>
      <rPr>
        <sz val="11"/>
        <rFont val="Arial"/>
        <family val="0"/>
      </rPr>
      <t xml:space="preserve"> C</t>
    </r>
    <r>
      <rPr>
        <vertAlign val="subscript"/>
        <sz val="11"/>
        <rFont val="Arial"/>
        <family val="0"/>
      </rPr>
      <t>N</t>
    </r>
    <r>
      <rPr>
        <vertAlign val="subscript"/>
        <sz val="11"/>
        <rFont val="Symbol"/>
        <family val="1"/>
      </rPr>
      <t>a</t>
    </r>
    <r>
      <rPr>
        <sz val="10"/>
        <rFont val="Arial"/>
        <family val="0"/>
      </rPr>
      <t>, per rad</t>
    </r>
  </si>
  <si>
    <t>Segment Volume, in^3</t>
  </si>
  <si>
    <t>Segment Center of Pressure, in</t>
  </si>
  <si>
    <t>Boat Tail Half Angle, deg</t>
  </si>
  <si>
    <t>Flight Mach Number</t>
  </si>
  <si>
    <t>Root Chord, in</t>
  </si>
  <si>
    <t>Tip Chord, in</t>
  </si>
  <si>
    <t>Maximum Exposed Semi-Span, in</t>
  </si>
  <si>
    <t>Aspect Ratio</t>
  </si>
  <si>
    <t>Tip Chord LE Body Station, in</t>
  </si>
  <si>
    <t>Root Chord LE Body Station, in</t>
  </si>
  <si>
    <t>Quarter Chord Sweep Angle, rad</t>
  </si>
  <si>
    <t>Number of Fin Panels</t>
  </si>
  <si>
    <t>tan(half boat tail angle)</t>
  </si>
  <si>
    <r>
      <t>Single Panel C</t>
    </r>
    <r>
      <rPr>
        <vertAlign val="subscript"/>
        <sz val="12"/>
        <rFont val="Arial"/>
        <family val="2"/>
      </rPr>
      <t>N</t>
    </r>
    <r>
      <rPr>
        <vertAlign val="subscript"/>
        <sz val="12"/>
        <rFont val="Symbol"/>
        <family val="1"/>
      </rPr>
      <t>a</t>
    </r>
    <r>
      <rPr>
        <sz val="10"/>
        <rFont val="Arial"/>
        <family val="0"/>
      </rPr>
      <t>, rad</t>
    </r>
    <r>
      <rPr>
        <vertAlign val="superscript"/>
        <sz val="12"/>
        <rFont val="Arial"/>
        <family val="2"/>
      </rPr>
      <t>-1</t>
    </r>
  </si>
  <si>
    <t>Fin Center of Pressure, in</t>
  </si>
  <si>
    <r>
      <t>Body-Tail Lift Interference, K</t>
    </r>
    <r>
      <rPr>
        <vertAlign val="subscript"/>
        <sz val="12"/>
        <rFont val="Arial"/>
        <family val="2"/>
      </rPr>
      <t>W(B)</t>
    </r>
  </si>
  <si>
    <t>Body  Radius at One Quarter Root Chord, in</t>
  </si>
  <si>
    <t>Maximum Semispan from Body CL, in</t>
  </si>
  <si>
    <t>Quarter Chord Exposed Semispan, in</t>
  </si>
  <si>
    <r>
      <t>Vehicle C</t>
    </r>
    <r>
      <rPr>
        <vertAlign val="subscript"/>
        <sz val="12"/>
        <rFont val="Arial"/>
        <family val="2"/>
      </rPr>
      <t>N</t>
    </r>
    <r>
      <rPr>
        <vertAlign val="subscript"/>
        <sz val="12"/>
        <rFont val="Symbol"/>
        <family val="1"/>
      </rPr>
      <t>a</t>
    </r>
    <r>
      <rPr>
        <sz val="10"/>
        <rFont val="Arial"/>
        <family val="2"/>
      </rPr>
      <t>, rad</t>
    </r>
    <r>
      <rPr>
        <vertAlign val="superscript"/>
        <sz val="12"/>
        <rFont val="Arial"/>
        <family val="2"/>
      </rPr>
      <t>-1</t>
    </r>
  </si>
  <si>
    <t>Vehicle Center of Pressure, in</t>
  </si>
  <si>
    <r>
      <t>Tail-Body Lift Interference, K</t>
    </r>
    <r>
      <rPr>
        <vertAlign val="subscript"/>
        <sz val="12"/>
        <rFont val="Arial"/>
        <family val="2"/>
      </rPr>
      <t>B(W)</t>
    </r>
  </si>
  <si>
    <r>
      <t>CP</t>
    </r>
    <r>
      <rPr>
        <vertAlign val="subscript"/>
        <sz val="12"/>
        <rFont val="Arial"/>
        <family val="2"/>
      </rPr>
      <t>B(W)</t>
    </r>
  </si>
  <si>
    <t>Code</t>
  </si>
  <si>
    <t>Input data</t>
  </si>
  <si>
    <t>Output data</t>
  </si>
  <si>
    <t>Theta T, rad</t>
  </si>
  <si>
    <t>R hemis, in</t>
  </si>
  <si>
    <r>
      <t>Single Panel Area, in</t>
    </r>
    <r>
      <rPr>
        <vertAlign val="superscript"/>
        <sz val="10"/>
        <rFont val="Arial"/>
        <family val="2"/>
      </rPr>
      <t>2</t>
    </r>
  </si>
  <si>
    <r>
      <t xml:space="preserve">First Stage     </t>
    </r>
    <r>
      <rPr>
        <b/>
        <sz val="10"/>
        <rFont val="Times New Roman"/>
        <family val="1"/>
      </rPr>
      <t>→</t>
    </r>
  </si>
  <si>
    <r>
      <t xml:space="preserve">Body of Revolution  </t>
    </r>
    <r>
      <rPr>
        <b/>
        <sz val="10"/>
        <rFont val="Times New Roman"/>
        <family val="1"/>
      </rPr>
      <t>→</t>
    </r>
  </si>
  <si>
    <t>Beta * Aspect Ratio</t>
  </si>
  <si>
    <r>
      <t>Naked Tail Ass'y C</t>
    </r>
    <r>
      <rPr>
        <vertAlign val="subscript"/>
        <sz val="12"/>
        <rFont val="Arial"/>
        <family val="2"/>
      </rPr>
      <t>N</t>
    </r>
    <r>
      <rPr>
        <vertAlign val="subscript"/>
        <sz val="12"/>
        <rFont val="Symbol"/>
        <family val="1"/>
      </rPr>
      <t>a</t>
    </r>
    <r>
      <rPr>
        <sz val="10"/>
        <rFont val="Arial"/>
        <family val="0"/>
      </rPr>
      <t>, rad</t>
    </r>
    <r>
      <rPr>
        <vertAlign val="superscript"/>
        <sz val="12"/>
        <rFont val="Arial"/>
        <family val="2"/>
      </rPr>
      <t>-1</t>
    </r>
  </si>
  <si>
    <r>
      <t>Tail Assembly C</t>
    </r>
    <r>
      <rPr>
        <vertAlign val="subscript"/>
        <sz val="12"/>
        <rFont val="Arial"/>
        <family val="2"/>
      </rPr>
      <t>N</t>
    </r>
    <r>
      <rPr>
        <vertAlign val="subscript"/>
        <sz val="12"/>
        <rFont val="Symbol"/>
        <family val="1"/>
      </rPr>
      <t>a</t>
    </r>
    <r>
      <rPr>
        <sz val="10"/>
        <rFont val="Arial"/>
        <family val="0"/>
      </rPr>
      <t>, rad</t>
    </r>
    <r>
      <rPr>
        <vertAlign val="superscript"/>
        <sz val="12"/>
        <rFont val="Arial"/>
        <family val="2"/>
      </rPr>
      <t>-1</t>
    </r>
  </si>
  <si>
    <r>
      <t>Tail + K</t>
    </r>
    <r>
      <rPr>
        <vertAlign val="subscript"/>
        <sz val="12"/>
        <rFont val="Arial"/>
        <family val="2"/>
      </rPr>
      <t>(W)B</t>
    </r>
    <r>
      <rPr>
        <sz val="10"/>
        <rFont val="Arial"/>
        <family val="0"/>
      </rPr>
      <t xml:space="preserve">  C</t>
    </r>
    <r>
      <rPr>
        <vertAlign val="subscript"/>
        <sz val="12"/>
        <rFont val="Arial"/>
        <family val="2"/>
      </rPr>
      <t>N</t>
    </r>
    <r>
      <rPr>
        <vertAlign val="subscript"/>
        <sz val="12"/>
        <rFont val="Symbol"/>
        <family val="1"/>
      </rPr>
      <t>a</t>
    </r>
    <r>
      <rPr>
        <sz val="10"/>
        <rFont val="Arial"/>
        <family val="0"/>
      </rPr>
      <t>, rad</t>
    </r>
    <r>
      <rPr>
        <vertAlign val="superscript"/>
        <sz val="12"/>
        <rFont val="Arial"/>
        <family val="2"/>
      </rPr>
      <t>-1</t>
    </r>
  </si>
  <si>
    <r>
      <t>Tail-Body Lift Interference, k</t>
    </r>
    <r>
      <rPr>
        <vertAlign val="subscript"/>
        <sz val="12"/>
        <rFont val="Arial"/>
        <family val="2"/>
      </rPr>
      <t>W(B)</t>
    </r>
  </si>
  <si>
    <r>
      <t>Single Panel C</t>
    </r>
    <r>
      <rPr>
        <vertAlign val="subscript"/>
        <sz val="12"/>
        <rFont val="Arial"/>
        <family val="0"/>
      </rPr>
      <t>N</t>
    </r>
    <r>
      <rPr>
        <vertAlign val="subscript"/>
        <sz val="12"/>
        <rFont val="Symbol"/>
        <family val="1"/>
      </rPr>
      <t>d</t>
    </r>
    <r>
      <rPr>
        <sz val="10"/>
        <rFont val="Arial"/>
        <family val="0"/>
      </rPr>
      <t>, rad</t>
    </r>
    <r>
      <rPr>
        <vertAlign val="superscript"/>
        <sz val="12"/>
        <rFont val="Arial"/>
        <family val="2"/>
      </rPr>
      <t>-1</t>
    </r>
  </si>
  <si>
    <t>γ</t>
  </si>
  <si>
    <r>
      <t>C</t>
    </r>
    <r>
      <rPr>
        <vertAlign val="subscript"/>
        <sz val="12"/>
        <rFont val="Arial"/>
        <family val="2"/>
      </rPr>
      <t>PT</t>
    </r>
  </si>
  <si>
    <t>4=2*MAX(H6:H11)</t>
  </si>
  <si>
    <t>Tail Assembly Center of Pressure, 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</si>
</sst>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sz val="11"/>
      <name val="Arial"/>
      <family val="0"/>
    </font>
    <font>
      <vertAlign val="subscript"/>
      <sz val="11"/>
      <name val="Arial"/>
      <family val="0"/>
    </font>
    <font>
      <vertAlign val="subscript"/>
      <sz val="11"/>
      <name val="Symbol"/>
      <family val="1"/>
    </font>
    <font>
      <vertAlign val="subscript"/>
      <sz val="12"/>
      <name val="Arial"/>
      <family val="2"/>
    </font>
    <font>
      <vertAlign val="subscript"/>
      <sz val="12"/>
      <name val="Symbol"/>
      <family val="1"/>
    </font>
    <font>
      <vertAlign val="superscript"/>
      <sz val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10"/>
      <name val="Arial"/>
      <family val="0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6" fillId="26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6" fillId="2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7" borderId="11" xfId="0" applyFill="1" applyBorder="1" applyAlignment="1">
      <alignment/>
    </xf>
    <xf numFmtId="0" fontId="0" fillId="11" borderId="10" xfId="0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26"/>
  <sheetViews>
    <sheetView tabSelected="1" zoomScalePageLayoutView="0" workbookViewId="0" topLeftCell="N1">
      <selection activeCell="R10" sqref="R10"/>
    </sheetView>
  </sheetViews>
  <sheetFormatPr defaultColWidth="9.140625" defaultRowHeight="12.75"/>
  <cols>
    <col min="1" max="1" width="10.421875" style="0" customWidth="1"/>
    <col min="3" max="3" width="10.7109375" style="0" customWidth="1"/>
    <col min="4" max="5" width="11.57421875" style="0" customWidth="1"/>
    <col min="7" max="7" width="9.8515625" style="0" customWidth="1"/>
    <col min="8" max="8" width="10.28125" style="0" customWidth="1"/>
    <col min="9" max="9" width="10.421875" style="0" customWidth="1"/>
    <col min="10" max="10" width="10.00390625" style="0" customWidth="1"/>
    <col min="12" max="12" width="11.421875" style="0" customWidth="1"/>
    <col min="13" max="13" width="12.140625" style="0" customWidth="1"/>
    <col min="14" max="14" width="12.00390625" style="0" customWidth="1"/>
    <col min="15" max="16" width="11.8515625" style="0" customWidth="1"/>
    <col min="19" max="19" width="11.57421875" style="0" customWidth="1"/>
    <col min="22" max="22" width="11.421875" style="0" customWidth="1"/>
    <col min="27" max="27" width="11.00390625" style="0" customWidth="1"/>
    <col min="28" max="28" width="11.28125" style="0" customWidth="1"/>
  </cols>
  <sheetData>
    <row r="5" spans="1:16" ht="45.75" customHeight="1">
      <c r="A5" s="6" t="s">
        <v>37</v>
      </c>
      <c r="B5" s="12" t="s">
        <v>10</v>
      </c>
      <c r="C5" s="12" t="s">
        <v>9</v>
      </c>
      <c r="D5" s="12" t="s">
        <v>4</v>
      </c>
      <c r="E5" s="12" t="s">
        <v>5</v>
      </c>
      <c r="F5" s="12" t="s">
        <v>3</v>
      </c>
      <c r="G5" s="12" t="s">
        <v>0</v>
      </c>
      <c r="H5" s="12" t="s">
        <v>1</v>
      </c>
      <c r="I5" s="12" t="s">
        <v>2</v>
      </c>
      <c r="J5" s="13" t="s">
        <v>6</v>
      </c>
      <c r="K5" s="13" t="s">
        <v>7</v>
      </c>
      <c r="L5" s="13" t="s">
        <v>8</v>
      </c>
      <c r="M5" s="1"/>
      <c r="N5" s="13" t="s">
        <v>26</v>
      </c>
      <c r="O5" s="10"/>
      <c r="P5" s="13" t="s">
        <v>27</v>
      </c>
    </row>
    <row r="6" spans="2:16" ht="12.75">
      <c r="B6" s="16">
        <v>1</v>
      </c>
      <c r="C6">
        <f>180*ATAN((H10-H11)/(G11-G10))/PI()</f>
        <v>0</v>
      </c>
      <c r="D6">
        <f>PI()*MAX(H6:H11)^2</f>
        <v>28.274333882308138</v>
      </c>
      <c r="E6" t="s">
        <v>46</v>
      </c>
      <c r="F6" s="3">
        <v>0</v>
      </c>
      <c r="G6" s="3">
        <v>0</v>
      </c>
      <c r="H6" s="3">
        <v>1</v>
      </c>
      <c r="I6">
        <f>PI()*H6^2/2</f>
        <v>1.5707963267948966</v>
      </c>
      <c r="J6">
        <f>PI()*H21^2*G19*(SIN(H19))^4/(2*$D$6)</f>
        <v>0.07086285091464344</v>
      </c>
      <c r="L6">
        <f>H21*(1-(4/5)*COS(H19)+(4/15)*COS(H19)*((SIN(H19))^2+2)/(SIN(H19)^4)-(8/15)/(SIN(H19))^4)</f>
        <v>0.46661392588744455</v>
      </c>
      <c r="M6">
        <f aca="true" t="shared" si="0" ref="M6:M16">J6*L6</f>
        <v>0.03306559306485846</v>
      </c>
      <c r="N6" s="7">
        <f>J17+X26</f>
        <v>21.520140530961555</v>
      </c>
      <c r="O6" s="11">
        <f>M17+X26*Y26</f>
        <v>1980.7682984385722</v>
      </c>
      <c r="P6" s="2">
        <f>O6/N6</f>
        <v>92.04253548385486</v>
      </c>
    </row>
    <row r="7" spans="6:13" ht="12.75">
      <c r="F7" s="3">
        <v>1</v>
      </c>
      <c r="G7" s="3">
        <v>6.12</v>
      </c>
      <c r="H7" s="3">
        <v>1.049</v>
      </c>
      <c r="I7">
        <f aca="true" t="shared" si="1" ref="I7:I16">PI()*H7^2</f>
        <v>3.4570116976028618</v>
      </c>
      <c r="J7">
        <f aca="true" t="shared" si="2" ref="J7:J16">2*(I7-I6)/$D$6</f>
        <v>0.13342244444444443</v>
      </c>
      <c r="K7">
        <f aca="true" t="shared" si="3" ref="K7:K16">I7*(G7-G6)*(I6/I7+H6/H7+1)/3</f>
        <v>16.979610984747442</v>
      </c>
      <c r="L7">
        <f aca="true" t="shared" si="4" ref="L7:L16">IF((I6=I7),0,(G7*I7-G6*I6-K7)/(I7-I6))</f>
        <v>2.214646677803667</v>
      </c>
      <c r="M7">
        <f t="shared" si="0"/>
        <v>0.2954835733333332</v>
      </c>
    </row>
    <row r="8" spans="6:13" ht="12.75">
      <c r="F8" s="3">
        <v>2</v>
      </c>
      <c r="G8" s="3">
        <v>16.2</v>
      </c>
      <c r="H8" s="3">
        <v>2</v>
      </c>
      <c r="I8">
        <f t="shared" si="1"/>
        <v>12.566370614359172</v>
      </c>
      <c r="J8">
        <f t="shared" si="2"/>
        <v>0.6443553333333333</v>
      </c>
      <c r="K8">
        <f t="shared" si="3"/>
        <v>75.98453082928988</v>
      </c>
      <c r="L8">
        <f t="shared" si="4"/>
        <v>11.684001311905542</v>
      </c>
      <c r="M8">
        <f t="shared" si="0"/>
        <v>7.528648559999999</v>
      </c>
    </row>
    <row r="9" spans="6:13" ht="12.75">
      <c r="F9" s="3">
        <v>3</v>
      </c>
      <c r="G9" s="3">
        <v>23.76</v>
      </c>
      <c r="H9" s="3">
        <v>2.51</v>
      </c>
      <c r="I9">
        <f t="shared" si="1"/>
        <v>19.792347876881053</v>
      </c>
      <c r="J9">
        <f t="shared" si="2"/>
        <v>0.5111333333333331</v>
      </c>
      <c r="K9">
        <f t="shared" si="3"/>
        <v>121.2863743028977</v>
      </c>
      <c r="L9">
        <f t="shared" si="4"/>
        <v>20.12248337028825</v>
      </c>
      <c r="M9">
        <f t="shared" si="0"/>
        <v>10.285271999999997</v>
      </c>
    </row>
    <row r="10" spans="6:13" ht="12.75">
      <c r="F10" s="3">
        <v>4</v>
      </c>
      <c r="G10" s="3">
        <v>36</v>
      </c>
      <c r="H10" s="3">
        <v>3</v>
      </c>
      <c r="I10">
        <f t="shared" si="1"/>
        <v>28.274333882308138</v>
      </c>
      <c r="J10">
        <f t="shared" si="2"/>
        <v>0.5999777777777779</v>
      </c>
      <c r="K10">
        <f t="shared" si="3"/>
        <v>292.6293277181389</v>
      </c>
      <c r="L10">
        <f t="shared" si="4"/>
        <v>30.06141560798548</v>
      </c>
      <c r="M10">
        <f t="shared" si="0"/>
        <v>18.03618133333334</v>
      </c>
    </row>
    <row r="11" spans="6:13" ht="12.75">
      <c r="F11" s="3">
        <v>5</v>
      </c>
      <c r="G11" s="3">
        <v>96</v>
      </c>
      <c r="H11" s="3">
        <v>3</v>
      </c>
      <c r="I11">
        <f t="shared" si="1"/>
        <v>28.274333882308138</v>
      </c>
      <c r="J11">
        <f t="shared" si="2"/>
        <v>0</v>
      </c>
      <c r="K11">
        <f t="shared" si="3"/>
        <v>1696.4600329384882</v>
      </c>
      <c r="L11">
        <f t="shared" si="4"/>
        <v>0</v>
      </c>
      <c r="M11">
        <f t="shared" si="0"/>
        <v>0</v>
      </c>
    </row>
    <row r="12" spans="6:13" ht="12.75">
      <c r="F12" s="3">
        <v>6</v>
      </c>
      <c r="G12" s="3">
        <v>97</v>
      </c>
      <c r="H12" s="3">
        <v>3</v>
      </c>
      <c r="I12">
        <f t="shared" si="1"/>
        <v>28.274333882308138</v>
      </c>
      <c r="J12">
        <f t="shared" si="2"/>
        <v>0</v>
      </c>
      <c r="K12">
        <f t="shared" si="3"/>
        <v>28.274333882308138</v>
      </c>
      <c r="L12">
        <f t="shared" si="4"/>
        <v>0</v>
      </c>
      <c r="M12">
        <f t="shared" si="0"/>
        <v>0</v>
      </c>
    </row>
    <row r="13" spans="6:13" ht="12.75">
      <c r="F13" s="3">
        <v>7</v>
      </c>
      <c r="G13" s="3">
        <v>98</v>
      </c>
      <c r="H13" s="3">
        <v>3</v>
      </c>
      <c r="I13">
        <f t="shared" si="1"/>
        <v>28.274333882308138</v>
      </c>
      <c r="J13">
        <f t="shared" si="2"/>
        <v>0</v>
      </c>
      <c r="K13">
        <f t="shared" si="3"/>
        <v>28.274333882308138</v>
      </c>
      <c r="L13">
        <f t="shared" si="4"/>
        <v>0</v>
      </c>
      <c r="M13">
        <f t="shared" si="0"/>
        <v>0</v>
      </c>
    </row>
    <row r="14" spans="6:13" ht="12.75">
      <c r="F14" s="3">
        <v>8</v>
      </c>
      <c r="G14" s="3">
        <v>99</v>
      </c>
      <c r="H14" s="3">
        <v>3</v>
      </c>
      <c r="I14">
        <f t="shared" si="1"/>
        <v>28.274333882308138</v>
      </c>
      <c r="J14">
        <f t="shared" si="2"/>
        <v>0</v>
      </c>
      <c r="K14">
        <f t="shared" si="3"/>
        <v>28.274333882308138</v>
      </c>
      <c r="L14">
        <f t="shared" si="4"/>
        <v>0</v>
      </c>
      <c r="M14">
        <f t="shared" si="0"/>
        <v>0</v>
      </c>
    </row>
    <row r="15" spans="3:13" ht="12.75">
      <c r="C15" s="4" t="s">
        <v>30</v>
      </c>
      <c r="F15" s="3">
        <v>9</v>
      </c>
      <c r="G15" s="3">
        <v>100</v>
      </c>
      <c r="H15" s="3">
        <v>3</v>
      </c>
      <c r="I15">
        <f t="shared" si="1"/>
        <v>28.274333882308138</v>
      </c>
      <c r="J15">
        <f t="shared" si="2"/>
        <v>0</v>
      </c>
      <c r="K15">
        <f t="shared" si="3"/>
        <v>28.274333882308138</v>
      </c>
      <c r="L15">
        <f t="shared" si="4"/>
        <v>0</v>
      </c>
      <c r="M15">
        <f t="shared" si="0"/>
        <v>0</v>
      </c>
    </row>
    <row r="16" spans="3:13" ht="12.75">
      <c r="C16" t="s">
        <v>31</v>
      </c>
      <c r="D16" s="3"/>
      <c r="F16" s="3">
        <v>10</v>
      </c>
      <c r="G16" s="3">
        <v>101</v>
      </c>
      <c r="H16" s="3">
        <v>3</v>
      </c>
      <c r="I16">
        <f t="shared" si="1"/>
        <v>28.274333882308138</v>
      </c>
      <c r="J16">
        <f t="shared" si="2"/>
        <v>0</v>
      </c>
      <c r="K16">
        <f t="shared" si="3"/>
        <v>28.274333882308138</v>
      </c>
      <c r="L16">
        <f t="shared" si="4"/>
        <v>0</v>
      </c>
      <c r="M16">
        <f t="shared" si="0"/>
        <v>0</v>
      </c>
    </row>
    <row r="17" spans="3:13" ht="12.75">
      <c r="C17" t="s">
        <v>32</v>
      </c>
      <c r="D17" s="2"/>
      <c r="J17">
        <f>SUM(J6:J16)</f>
        <v>1.9597517398035322</v>
      </c>
      <c r="M17">
        <f>SUM(M6:M16)</f>
        <v>36.17865105973153</v>
      </c>
    </row>
    <row r="18" spans="6:8" ht="15" customHeight="1">
      <c r="F18" s="15" t="s">
        <v>44</v>
      </c>
      <c r="G18" s="8" t="s">
        <v>45</v>
      </c>
      <c r="H18" s="8" t="s">
        <v>33</v>
      </c>
    </row>
    <row r="19" spans="6:8" ht="12.75">
      <c r="F19" s="3">
        <v>1.4</v>
      </c>
      <c r="G19">
        <f>2*(((F19+1)/2)^(F19/(F19-1))-1)/F19</f>
        <v>1.27561308391122</v>
      </c>
      <c r="H19">
        <f>PI()/2-ATAN((H7-H6)/(G7-G6))</f>
        <v>1.5627899619259131</v>
      </c>
    </row>
    <row r="20" ht="12.75">
      <c r="H20" s="8" t="s">
        <v>34</v>
      </c>
    </row>
    <row r="21" ht="12.75">
      <c r="H21">
        <f>H6/SIN(H19)</f>
        <v>1.0000320517952823</v>
      </c>
    </row>
    <row r="25" spans="1:28" ht="62.25" customHeight="1">
      <c r="A25" s="9" t="s">
        <v>36</v>
      </c>
      <c r="B25" s="12" t="s">
        <v>18</v>
      </c>
      <c r="C25" s="12" t="s">
        <v>15</v>
      </c>
      <c r="D25" s="12" t="s">
        <v>16</v>
      </c>
      <c r="E25" s="12" t="s">
        <v>11</v>
      </c>
      <c r="F25" s="12" t="s">
        <v>12</v>
      </c>
      <c r="G25" s="12" t="s">
        <v>13</v>
      </c>
      <c r="H25" s="12" t="s">
        <v>19</v>
      </c>
      <c r="I25" s="12" t="s">
        <v>35</v>
      </c>
      <c r="J25" s="12" t="s">
        <v>25</v>
      </c>
      <c r="K25" s="12" t="s">
        <v>14</v>
      </c>
      <c r="L25" s="12" t="s">
        <v>17</v>
      </c>
      <c r="M25" s="12" t="s">
        <v>38</v>
      </c>
      <c r="N25" s="12" t="s">
        <v>23</v>
      </c>
      <c r="O25" s="12" t="s">
        <v>24</v>
      </c>
      <c r="P25" s="12" t="s">
        <v>20</v>
      </c>
      <c r="Q25" s="12" t="s">
        <v>39</v>
      </c>
      <c r="R25" s="12" t="s">
        <v>21</v>
      </c>
      <c r="S25" s="12" t="s">
        <v>22</v>
      </c>
      <c r="T25" s="12" t="s">
        <v>41</v>
      </c>
      <c r="U25" s="5"/>
      <c r="V25" s="12" t="s">
        <v>28</v>
      </c>
      <c r="W25" s="12" t="s">
        <v>29</v>
      </c>
      <c r="X25" s="12" t="s">
        <v>40</v>
      </c>
      <c r="Y25" s="12" t="s">
        <v>47</v>
      </c>
      <c r="AA25" s="12" t="s">
        <v>42</v>
      </c>
      <c r="AB25" s="12" t="s">
        <v>43</v>
      </c>
    </row>
    <row r="26" spans="2:28" ht="12.75">
      <c r="B26" s="3">
        <v>4</v>
      </c>
      <c r="C26" s="3">
        <v>105.64</v>
      </c>
      <c r="D26" s="3">
        <v>88</v>
      </c>
      <c r="E26" s="3">
        <v>20</v>
      </c>
      <c r="F26" s="3">
        <v>1.5</v>
      </c>
      <c r="G26" s="3">
        <v>10</v>
      </c>
      <c r="H26">
        <f>(H15-H16)/(G16-G15)</f>
        <v>0</v>
      </c>
      <c r="I26">
        <f>G26*(E26+F26)/2</f>
        <v>107.5</v>
      </c>
      <c r="J26">
        <f>G26-3*E26*H26/4</f>
        <v>10</v>
      </c>
      <c r="K26">
        <f>2*J26^2/I26</f>
        <v>1.8604651162790697</v>
      </c>
      <c r="L26">
        <f>ATAN((C26+F26/4-D26-E26/4)/G26)</f>
        <v>0.9156579173830767</v>
      </c>
      <c r="M26">
        <f>B9*K26</f>
        <v>0</v>
      </c>
      <c r="N26" s="3">
        <f>H11-E26*H26/4</f>
        <v>3</v>
      </c>
      <c r="O26" s="14">
        <f>N26+J26</f>
        <v>13</v>
      </c>
      <c r="P26" s="2">
        <f>PI()*G26/(E26-F26)</f>
        <v>1.698158191129618</v>
      </c>
      <c r="Q26">
        <f>B26*P26/2</f>
        <v>3.396316382259236</v>
      </c>
      <c r="R26" s="2">
        <f>D26+2*(E26-F26)/3</f>
        <v>100.33333333333333</v>
      </c>
      <c r="S26">
        <f>2*((1+(N26/O26)^4)*(ATAN((O26/N26-N26/O26)/2)/2+PI()/4)-((N26/O26)^2)*((O26/N26-N26/O26)+2*ATAN(N26/O26)))/(PI()*(1-N26/O26)^2)</f>
        <v>1.1890420101270769</v>
      </c>
      <c r="T26">
        <f>Q26*S26</f>
        <v>4.038362858189044</v>
      </c>
      <c r="U26">
        <f>T26*R26</f>
        <v>405.182406771634</v>
      </c>
      <c r="V26">
        <f>(((1-(N26/O26)^2)^2)-(2/PI())*((1+(N26/O26)^4)*(ATAN((O26/N26-N26/O26)/2)/2+PI()/4)-((N26/O26)^2)*(O26/N26-N26/O26+2*ATAN(N26/O26))))/(1-N26/O26)^2</f>
        <v>0.32575088928120705</v>
      </c>
      <c r="W26" s="17">
        <f>D26+E26/4+(O26-N26)*TAN(L26)*((N26/(N26-O26))+(SQRT(O26*(O26-2*N26))*ACOSH((O26-N26)/N26)-O26+N26+PI()*N26/2)/(((O26-N26)*N26/SQRT(O26*(O26-2*N26)))*ACOSH((O26-N26)/N26)+(O26-N26)^2/N26-PI()*(O26-N26)/2))</f>
        <v>96.06141629836654</v>
      </c>
      <c r="X26" s="2">
        <f>(T26+Q26*V26)*I26/D6</f>
        <v>19.560388791158022</v>
      </c>
      <c r="Y26" s="2">
        <f>(T26*R26+V26*Q26*W26)*I26/(D6*X26)</f>
        <v>99.41467258860739</v>
      </c>
      <c r="Z26">
        <f>X26*Y26</f>
        <v>1944.5896473788407</v>
      </c>
      <c r="AA26">
        <f>(PI()^2*(O26/N26+1)^2/(4*(O26/N26)^2)+PI()*((O26/N26)^2+1)^2/((O26/N26)^2*(O26/N26-1)^2)*ASIN(((O26/N26)^2-1)/((O26/N26)^2+1))-2*PI()*(O26/N26+1)/((O26/N26)*(O26/N26-1))+((O26/N26)^2+1)^2/((O26/N26)^2*(O26/N26-1)^2)*(ASIN(((O26/N26)^2-1)/((O26/N26)^2+1)))^2-(4*(O26/N26+1)/((O26/N26)*(O26/N26-1)))*ASIN(((O26/N26)^2-1)/((O26/N26)^2+1))+(8/(O26/N26-1)^2)*LN(((O26/N26)^2+1)/(2*O26/N26)))/PI()^2</f>
        <v>0.9404430054538061</v>
      </c>
      <c r="AB26" s="2">
        <f>AA26*P26*I26/D6</f>
        <v>6.071929314491541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2008-11-01T22:14:49Z</dcterms:created>
  <dcterms:modified xsi:type="dcterms:W3CDTF">2011-04-11T20:18:07Z</dcterms:modified>
  <cp:category/>
  <cp:version/>
  <cp:contentType/>
  <cp:contentStatus/>
</cp:coreProperties>
</file>